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a82ee87e45e4020" /></Relationships>
</file>

<file path=xl/workbook.xml><?xml version="1.0" encoding="utf-8"?>
<x:workbook xmlns:x="http://schemas.openxmlformats.org/spreadsheetml/2006/main">
  <x:bookViews>
    <x:workbookView activeTab="0"/>
  </x:bookViews>
  <x:sheets>
    <x:sheet xmlns:r="http://schemas.openxmlformats.org/officeDocument/2006/relationships" name="Estimate (US)" sheetId="1" r:id="R8ad302b2e6064103"/>
    <x:sheet xmlns:r="http://schemas.openxmlformats.org/officeDocument/2006/relationships" name="Estimate (metric)" sheetId="2" r:id="Rbe2be0b30a8d4e7e"/>
    <x:sheet xmlns:r="http://schemas.openxmlformats.org/officeDocument/2006/relationships" name="Formulas" sheetId="3" r:id="Re499b6e2f5ee481d"/>
    <x:sheet xmlns:r="http://schemas.openxmlformats.org/officeDocument/2006/relationships" name="Read me" sheetId="4" r:id="Rfbb56fe95a794c8c"/>
  </x:sheets>
  <x:definedNames>
    <x:definedName name="_xlnm.Print_Area" localSheetId="0">'Estimate (US)'!$A$1:$I$37</x:definedName>
    <x:definedName name="_xlnm.Print_Area" localSheetId="1">'Estimate (metric)'!$A$1:$I$38</x:definedName>
    <x:definedName name="_xlnm.Print_Area" localSheetId="2">'Formulas'!$A$1:$B$23</x:definedName>
    <x:definedName name="_xlnm.Print_Area" localSheetId="3">'Read me'!$A$1:$B$13</x:definedName>
  </x:definedNames>
  <x:calcPr calcId="191029" calcMode="auto" fullCalcOnLoad="1"/>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0.######"/>
    <x:numFmt numFmtId="201" formatCode="0.##%"/>
    <x:numFmt numFmtId="202" formatCode="&quot;$&quot;#,##0.00;(&quot;$&quot;#,##0.00);&quot;$&quot;0.00"/>
    <x:numFmt numFmtId="203" formatCode="&quot;$&quot;0.00####"/>
    <x:numFmt numFmtId="204" formatCode="#,##0.00"/>
    <x:numFmt numFmtId="205" formatCode="#,##0"/>
    <x:numFmt numFmtId="206" formatCode="General"/>
    <x:numFmt numFmtId="207" formatCode="0.00%"/>
    <x:numFmt numFmtId="208" formatCode="@"/>
  </x:numFmts>
  <x:fonts count="9">
    <x:font>
      <x:sz val="11"/>
      <x:name val="Carlito"/>
    </x:font>
    <x:font>
      <x:sz val="11"/>
      <x:name val="Calibri"/>
    </x:font>
    <x:font>
      <x:sz val="11"/>
      <x:color rgb="FF203830"/>
      <x:name val="Calibri"/>
    </x:font>
    <x:font>
      <x:sz val="11"/>
      <x:color rgb="FFFFFFFF"/>
      <x:name val="Calibri"/>
    </x:font>
    <x:font>
      <x:b/>
      <x:sz val="11"/>
      <x:color rgb="FFFFFFFF"/>
      <x:name val="Calibri"/>
    </x:font>
    <x:font>
      <x:b/>
      <x:sz val="11"/>
      <x:color rgb="FF203830"/>
      <x:name val="Calibri"/>
    </x:font>
    <x:font>
      <x:sz val="9"/>
      <x:color rgb="FF203830"/>
      <x:name val="Calibri"/>
    </x:font>
    <x:font>
      <x:sz val="9"/>
      <x:color rgb="FF30534C"/>
      <x:name val="Calibri"/>
    </x:font>
    <x:font>
      <x:i/>
      <x:sz val="9"/>
      <x:color rgb="FF30534C"/>
      <x:name val="Calibri"/>
    </x:font>
  </x:fonts>
  <x:fills count="5">
    <x:fill>
      <x:patternFill patternType="none"/>
    </x:fill>
    <x:fill>
      <x:patternFill patternType="gray125"/>
    </x:fill>
    <x:fill>
      <x:patternFill patternType="solid">
        <x:fgColor rgb="FF17463D"/>
      </x:patternFill>
    </x:fill>
    <x:fill>
      <x:patternFill patternType="solid">
        <x:fgColor rgb="FFE5F1FF"/>
      </x:patternFill>
    </x:fill>
    <x:fill>
      <x:patternFill patternType="solid">
        <x:fgColor rgb="FFE8F2EE"/>
      </x:patternFill>
    </x:fill>
  </x:fills>
  <x:borders count="1">
    <x:border>
      <x:left/>
      <x:right/>
      <x:top/>
      <x:bottom/>
      <x:diagonal/>
    </x:border>
  </x:borders>
  <x:cellStyleXfs count="1">
    <x:xf numFmtId="0" fontId="0" fillId="0" borderId="0"/>
  </x:cellStyleXfs>
  <x:cellXfs count="40">
    <x:xf numFmtId="0" fontId="0" fillId="0" borderId="0" xfId="0"/>
    <x:xf numFmtId="0" fontId="1" fillId="0" borderId="0" xfId="0" applyNumberFormat="1" applyFont="1" applyFill="1" applyBorder="1"/>
    <x:xf numFmtId="0" fontId="2" fillId="0" borderId="0"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4" fillId="2" borderId="0" xfId="0" applyNumberFormat="1" applyFont="1" applyFill="1" applyBorder="1"/>
    <x:xf numFmtId="0" fontId="2" fillId="3" borderId="0" xfId="0" applyNumberFormat="1" applyFont="1" applyFill="1" applyBorder="1"/>
    <x:xf numFmtId="200" fontId="2" fillId="3" borderId="0" xfId="0" applyNumberFormat="1" applyFont="1" applyFill="1" applyBorder="1"/>
    <x:xf numFmtId="201" fontId="2" fillId="3" borderId="0" xfId="0" applyNumberFormat="1" applyFont="1" applyFill="1" applyBorder="1"/>
    <x:xf numFmtId="202" fontId="2" fillId="3" borderId="0" xfId="0" applyNumberFormat="1" applyFont="1" applyFill="1" applyBorder="1"/>
    <x:xf numFmtId="203" fontId="2" fillId="3" borderId="0" xfId="0" applyNumberFormat="1" applyFont="1" applyFill="1" applyBorder="1"/>
    <x:xf numFmtId="202" fontId="2" fillId="0" borderId="0" xfId="0" applyNumberFormat="1" applyFont="1" applyFill="1" applyBorder="1"/>
    <x:xf numFmtId="204" fontId="2" fillId="0" borderId="0" xfId="0" applyNumberFormat="1" applyFont="1" applyFill="1" applyBorder="1"/>
    <x:xf numFmtId="204" fontId="4" fillId="2" borderId="0" xfId="0" applyNumberFormat="1" applyFont="1" applyFill="1" applyBorder="1"/>
    <x:xf numFmtId="205" fontId="2" fillId="0" borderId="0" xfId="0" applyNumberFormat="1" applyFont="1" applyFill="1" applyBorder="1"/>
    <x:xf numFmtId="0" fontId="2" fillId="4" borderId="0" xfId="0" applyNumberFormat="1" applyFont="1" applyFill="1" applyBorder="1"/>
    <x:xf numFmtId="204" fontId="2" fillId="4" borderId="0" xfId="0" applyNumberFormat="1" applyFont="1" applyFill="1" applyBorder="1"/>
    <x:xf numFmtId="202" fontId="2" fillId="4" borderId="0" xfId="0" applyNumberFormat="1" applyFont="1" applyFill="1" applyBorder="1"/>
    <x:xf numFmtId="0" fontId="5" fillId="4" borderId="0" xfId="0" applyNumberFormat="1" applyFont="1" applyFill="1" applyBorder="1"/>
    <x:xf numFmtId="204" fontId="5" fillId="4" borderId="0" xfId="0" applyNumberFormat="1" applyFont="1" applyFill="1" applyBorder="1"/>
    <x:xf numFmtId="202" fontId="5" fillId="4" borderId="0" xfId="0" applyNumberFormat="1" applyFont="1" applyFill="1" applyBorder="1"/>
    <x:xf numFmtId="204" fontId="2" fillId="2" borderId="0" xfId="0" applyNumberFormat="1" applyFont="1" applyFill="1" applyBorder="1"/>
    <x:xf numFmtId="204" fontId="3" fillId="2" borderId="0" xfId="0" applyNumberFormat="1" applyFont="1" applyFill="1" applyBorder="1"/>
    <x:xf numFmtId="0" fontId="2" fillId="0" borderId="0" xfId="0" applyNumberFormat="1" applyFont="1" applyFill="1" applyBorder="1" applyAlignment="1">
      <x:alignment wrapText="1"/>
    </x:xf>
    <x:xf numFmtId="0" fontId="5" fillId="0" borderId="0" xfId="0" applyNumberFormat="1" applyFont="1" applyFill="1" applyBorder="1" applyAlignment="1">
      <x:alignment wrapText="1"/>
    </x:xf>
    <x:xf numFmtId="0" fontId="5" fillId="4" borderId="0" xfId="0" applyNumberFormat="1" applyFont="1" applyFill="1" applyBorder="1" applyAlignment="1">
      <x:alignment wrapText="1"/>
    </x:xf>
    <x:xf numFmtId="200" fontId="2" fillId="3" borderId="0" xfId="0" applyNumberFormat="1" applyFont="1" applyFill="1" applyBorder="1" applyProtection="1">
      <x:protection locked="0"/>
    </x:xf>
    <x:xf numFmtId="201" fontId="2" fillId="3" borderId="0" xfId="0" applyNumberFormat="1" applyFont="1" applyFill="1" applyBorder="1" applyProtection="1">
      <x:protection locked="0"/>
    </x:xf>
    <x:xf numFmtId="203" fontId="2" fillId="3" borderId="0" xfId="0" applyNumberFormat="1" applyFont="1" applyFill="1" applyBorder="1" applyProtection="1">
      <x:protection locked="0"/>
    </x:xf>
    <x:xf numFmtId="202" fontId="2" fillId="3" borderId="0" xfId="0" applyNumberFormat="1" applyFont="1" applyFill="1" applyBorder="1" applyProtection="1">
      <x:protection locked="0"/>
    </x:xf>
    <x:xf numFmtId="206" fontId="2" fillId="3" borderId="0" xfId="0" applyNumberFormat="1" applyFont="1" applyFill="1" applyBorder="1" applyProtection="1">
      <x:protection locked="0"/>
    </x:xf>
    <x:xf numFmtId="207" fontId="2" fillId="3" borderId="0" xfId="0" applyNumberFormat="1" applyFont="1" applyFill="1" applyBorder="1" applyProtection="1">
      <x:protection locked="0"/>
    </x:xf>
    <x:xf numFmtId="208" fontId="2" fillId="3" borderId="0" xfId="0" applyNumberFormat="1" applyFont="1" applyFill="1" applyBorder="1" applyProtection="1">
      <x:protection locked="0"/>
    </x:xf>
    <x:xf numFmtId="204" fontId="2" fillId="3" borderId="0" xfId="0" applyNumberFormat="1" applyFont="1" applyFill="1" applyBorder="1" applyProtection="1">
      <x:protection locked="0"/>
    </x:xf>
    <x:xf numFmtId="0" fontId="6" fillId="0" borderId="0" xfId="0" applyNumberFormat="1" applyFont="1" applyFill="1" applyBorder="1"/>
    <x:xf numFmtId="0" fontId="7" fillId="0" borderId="0" xfId="0" applyNumberFormat="1" applyFont="1" applyFill="1" applyBorder="1"/>
    <x:xf numFmtId="0" fontId="8" fillId="0" borderId="0" xfId="0" applyNumberFormat="1" applyFont="1" applyFill="1" applyBorder="1"/>
    <x:xf numFmtId="0" fontId="8" fillId="0" borderId="0" xfId="0" applyNumberFormat="1" applyFont="1" applyFill="1" applyBorder="1" applyAlignment="1">
      <x:alignment horizontal="left"/>
    </x:xf>
    <x:xf numFmtId="0" fontId="8" fillId="0" borderId="0" xfId="0" applyNumberFormat="1" applyFont="1" applyFill="1" applyBorder="1" applyAlignment="1">
      <x:alignment horizontal="left" vertical="center"/>
    </x:xf>
    <x:xf numFmtId="0" fontId="8" fillId="0" borderId="0"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920ab5948fc4b98" /><Relationship Type="http://schemas.openxmlformats.org/officeDocument/2006/relationships/theme" Target="/xl/theme/theme1.xml" Id="R0b8d246c86d64fb1" /><Relationship Type="http://schemas.openxmlformats.org/officeDocument/2006/relationships/sharedStrings" Target="/xl/sharedStrings.xml" Id="Rd8471983f1de4352" /><Relationship Type="http://schemas.openxmlformats.org/officeDocument/2006/relationships/worksheet" Target="/xl/worksheets/sheet1.xml" Id="R8ad302b2e6064103" /><Relationship Type="http://schemas.openxmlformats.org/officeDocument/2006/relationships/worksheet" Target="/xl/worksheets/sheet2.xml" Id="Rbe2be0b30a8d4e7e" /><Relationship Type="http://schemas.openxmlformats.org/officeDocument/2006/relationships/worksheet" Target="/xl/worksheets/sheet3.xml" Id="Re499b6e2f5ee481d" /><Relationship Type="http://schemas.openxmlformats.org/officeDocument/2006/relationships/worksheet" Target="/xl/worksheets/sheet4.xml" Id="Rfbb56fe95a794c8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hyperlink" Target="https://retainingwallcalc.org/" TargetMode="External" Id="Rcf69caadcf1d47ff" /></Relationships>
</file>

<file path=xl/worksheets/sheet1.xml><?xml version="1.0" encoding="utf-8"?>
<x:worksheet xmlns:x="http://schemas.openxmlformats.org/spreadsheetml/2006/main">
  <x:sheetPr>
    <x:pageSetUpPr fitToPage="1"/>
  </x:sheetPr>
  <x:sheetViews>
    <x:sheetView showGridLines="0" workbookViewId="0"/>
  </x:sheetViews>
  <x:sheetFormatPr defaultRowHeight="15"/>
  <x:cols>
    <x:col min="1" max="1" width="30" hidden="0" customWidth="1"/>
    <x:col min="2" max="2" width="16" hidden="0" customWidth="1"/>
    <x:col min="3" max="3" width="14" hidden="0" customWidth="1"/>
    <x:col min="4" max="4" width="3" hidden="0" customWidth="1"/>
    <x:col min="5" max="5" width="34" hidden="0" customWidth="1"/>
    <x:col min="6" max="6" width="14" hidden="0" customWidth="1"/>
    <x:col min="7" max="7" width="12" hidden="0" customWidth="1"/>
    <x:col min="8" max="8" width="15" hidden="0" customWidth="1"/>
    <x:col min="9" max="9" width="16" hidden="0" customWidth="1"/>
  </x:cols>
  <x:sheetData>
    <x:row r="1" ht="23" customHeight="1">
      <x:c r="A1" s="5" t="str">
        <x:v>Retaining Wall Calc | Estimate (US)</x:v>
      </x:c>
      <x:c r="B1" s="5" t="str">
        <x:v>Retaining Wall Calc | Estimate (US)</x:v>
      </x:c>
      <x:c r="C1" s="5" t="str">
        <x:v>Retaining Wall Calc | Estimate (US)</x:v>
      </x:c>
      <x:c r="D1" s="5" t="str">
        <x:v>Retaining Wall Calc | Estimate (US)</x:v>
      </x:c>
      <x:c r="E1" s="5" t="str">
        <x:v>Retaining Wall Calc | Estimate (US)</x:v>
      </x:c>
      <x:c r="F1" s="5" t="str">
        <x:v>Retaining Wall Calc | Estimate (US)</x:v>
      </x:c>
      <x:c r="G1" s="5" t="str">
        <x:v>Retaining Wall Calc | Estimate (US)</x:v>
      </x:c>
      <x:c r="H1" s="5" t="str">
        <x:v>Retaining Wall Calc | Estimate (US)</x:v>
      </x:c>
      <x:c r="I1" s="5" t="str">
        <x:v>Retaining Wall Calc | Estimate (US)</x:v>
      </x:c>
    </x:row>
    <x:row r="2" ht="16" customHeight="1">
      <x:c r="A2" s="2" t="str">
        <x:v>Edit the blue cells · Default straight-wall example · Quantities only, not a design</x:v>
      </x:c>
      <x:c r="B2" s="2"/>
      <x:c r="C2" s="2"/>
      <x:c r="D2" s="2"/>
      <x:c r="E2" s="2"/>
      <x:c r="F2" s="2"/>
      <x:c r="G2" s="2"/>
      <x:c r="H2" s="2"/>
      <x:c r="I2" s="2"/>
    </x:row>
    <x:row r="3" ht="16" customHeight="1">
      <x:c r="A3" s="2"/>
      <x:c r="B3" s="2"/>
      <x:c r="C3" s="2"/>
      <x:c r="D3" s="2"/>
      <x:c r="E3" s="2"/>
      <x:c r="F3" s="2"/>
      <x:c r="G3" s="2"/>
      <x:c r="H3" s="2"/>
      <x:c r="I3" s="2"/>
    </x:row>
    <x:row r="4" ht="23" customHeight="1">
      <x:c r="A4" s="5" t="str">
        <x:v>Wall inputs and assumptions</x:v>
      </x:c>
      <x:c r="B4" s="5" t="str">
        <x:v>Wall inputs and assumptions</x:v>
      </x:c>
      <x:c r="C4" s="5" t="str">
        <x:v>Wall inputs and assumptions</x:v>
      </x:c>
      <x:c r="D4" s="2"/>
      <x:c r="E4" s="5" t="str">
        <x:v>Wall geometry and block takeoff</x:v>
      </x:c>
      <x:c r="F4" s="5" t="str">
        <x:v>Wall geometry and block takeoff</x:v>
      </x:c>
      <x:c r="G4" s="5" t="str">
        <x:v>Wall geometry and block takeoff</x:v>
      </x:c>
      <x:c r="H4" s="5" t="str">
        <x:v>Wall geometry and block takeoff</x:v>
      </x:c>
      <x:c r="I4" s="5" t="str">
        <x:v>Wall geometry and block takeoff</x:v>
      </x:c>
    </x:row>
    <x:row r="5" ht="16" customHeight="1">
      <x:c r="A5" s="2" t="str">
        <x:v>Wall length</x:v>
      </x:c>
      <x:c r="B5" s="26" t="n">
        <x:v>30</x:v>
      </x:c>
      <x:c r="C5" s="2" t="str">
        <x:v>ft</x:v>
      </x:c>
      <x:c r="D5" s="2"/>
      <x:c r="E5" s="2" t="str">
        <x:v>Exposed face area</x:v>
      </x:c>
      <x:c r="F5" s="12" t="n">
        <x:f>B5*B6</x:f>
        <x:v>90</x:v>
      </x:c>
      <x:c r="G5" s="2" t="str">
        <x:v>ft²</x:v>
      </x:c>
      <x:c r="H5" s="2"/>
      <x:c r="I5" s="2"/>
    </x:row>
    <x:row r="6" ht="16" customHeight="1">
      <x:c r="A6" s="2" t="str">
        <x:v>Exposed height</x:v>
      </x:c>
      <x:c r="B6" s="26" t="n">
        <x:v>3</x:v>
      </x:c>
      <x:c r="C6" s="2" t="str">
        <x:v>ft</x:v>
      </x:c>
      <x:c r="D6" s="2"/>
      <x:c r="E6" s="2" t="str">
        <x:v>Units per course</x:v>
      </x:c>
      <x:c r="F6" s="14" t="n">
        <x:f>ROUNDUP(B5*12/B8-1E-9,0)</x:f>
        <x:v>23</x:v>
      </x:c>
      <x:c r="G6" s="2" t="str">
        <x:v>blocks</x:v>
      </x:c>
      <x:c r="H6" s="2"/>
      <x:c r="I6" s="2"/>
    </x:row>
    <x:row r="7" ht="16" customHeight="1">
      <x:c r="A7" s="2" t="str">
        <x:v>Buried courses</x:v>
      </x:c>
      <x:c r="B7" s="26" t="n">
        <x:v>1</x:v>
      </x:c>
      <x:c r="C7" s="2" t="str">
        <x:v>courses</x:v>
      </x:c>
      <x:c r="D7" s="2"/>
      <x:c r="E7" s="2" t="str">
        <x:v>Exposed courses</x:v>
      </x:c>
      <x:c r="F7" s="14" t="n">
        <x:f>ROUNDUP(B6*12/B9-1E-9,0)</x:f>
        <x:v>6</x:v>
      </x:c>
      <x:c r="G7" s="2" t="str">
        <x:v>courses</x:v>
      </x:c>
      <x:c r="H7" s="2"/>
      <x:c r="I7" s="2"/>
    </x:row>
    <x:row r="8" ht="16" customHeight="1">
      <x:c r="A8" s="2" t="str">
        <x:v>Block length</x:v>
      </x:c>
      <x:c r="B8" s="26" t="n">
        <x:v>16</x:v>
      </x:c>
      <x:c r="C8" s="2" t="str">
        <x:v>in</x:v>
      </x:c>
      <x:c r="D8" s="2"/>
      <x:c r="E8" s="2" t="str">
        <x:v>Total courses</x:v>
      </x:c>
      <x:c r="F8" s="14" t="n">
        <x:f>F7+B7</x:f>
        <x:v>7</x:v>
      </x:c>
      <x:c r="G8" s="2" t="str">
        <x:v>courses</x:v>
      </x:c>
      <x:c r="H8" s="2"/>
      <x:c r="I8" s="2"/>
    </x:row>
    <x:row r="9" ht="16" customHeight="1">
      <x:c r="A9" s="2" t="str">
        <x:v>Block height</x:v>
      </x:c>
      <x:c r="B9" s="26" t="n">
        <x:v>6</x:v>
      </x:c>
      <x:c r="C9" s="2" t="str">
        <x:v>in</x:v>
      </x:c>
      <x:c r="D9" s="2"/>
      <x:c r="E9" s="2" t="str">
        <x:v>Exposed wall units</x:v>
      </x:c>
      <x:c r="F9" s="14" t="n">
        <x:f>F6*F7</x:f>
        <x:v>138</x:v>
      </x:c>
      <x:c r="G9" s="2" t="str">
        <x:v>blocks</x:v>
      </x:c>
      <x:c r="H9" s="2"/>
      <x:c r="I9" s="2"/>
    </x:row>
    <x:row r="10" ht="16" customHeight="1">
      <x:c r="A10" s="2" t="str">
        <x:v>Block depth</x:v>
      </x:c>
      <x:c r="B10" s="26" t="n">
        <x:v>10</x:v>
      </x:c>
      <x:c r="C10" s="2" t="str">
        <x:v>in</x:v>
      </x:c>
      <x:c r="D10" s="2"/>
      <x:c r="E10" s="2" t="str">
        <x:v>Buried wall units</x:v>
      </x:c>
      <x:c r="F10" s="14" t="n">
        <x:f>F6*B7</x:f>
        <x:v>23</x:v>
      </x:c>
      <x:c r="G10" s="2" t="str">
        <x:v>blocks</x:v>
      </x:c>
      <x:c r="H10" s="2"/>
      <x:c r="I10" s="2"/>
    </x:row>
    <x:row r="11" ht="16" customHeight="1">
      <x:c r="A11" s="2" t="str">
        <x:v>Cutting allowance</x:v>
      </x:c>
      <x:c r="B11" s="27" t="n">
        <x:v>0.1</x:v>
      </x:c>
      <x:c r="C11" s="2" t="str">
        <x:v>%</x:v>
      </x:c>
      <x:c r="D11" s="2"/>
      <x:c r="E11" s="2" t="str">
        <x:v>Extra wall units for cuts</x:v>
      </x:c>
      <x:c r="F11" s="14" t="n">
        <x:f>F14-SUM(F9:F10)</x:f>
        <x:v>17</x:v>
      </x:c>
      <x:c r="G11" s="2" t="str">
        <x:v>blocks</x:v>
      </x:c>
      <x:c r="H11" s="2"/>
      <x:c r="I11" s="2"/>
    </x:row>
    <x:row r="12" ht="16" customHeight="1">
      <x:c r="A12" s="2" t="str">
        <x:v>Stone allowance</x:v>
      </x:c>
      <x:c r="B12" s="27" t="n">
        <x:v>0.1</x:v>
      </x:c>
      <x:c r="C12" s="2" t="str">
        <x:v>%</x:v>
      </x:c>
      <x:c r="D12" s="2"/>
      <x:c r="E12" s="2" t="str">
        <x:v>Built wall height</x:v>
      </x:c>
      <x:c r="F12" s="12" t="n">
        <x:f>F8*B9/12</x:f>
        <x:v>3.5</x:v>
      </x:c>
      <x:c r="G12" s="2" t="str">
        <x:v>ft</x:v>
      </x:c>
      <x:c r="H12" s="2"/>
      <x:c r="I12" s="2"/>
    </x:row>
    <x:row r="13" ht="16" customHeight="1">
      <x:c r="A13" s="2" t="str">
        <x:v>Stone bulk density</x:v>
      </x:c>
      <x:c r="B13" s="26" t="n">
        <x:v>1.4</x:v>
      </x:c>
      <x:c r="C13" s="2" t="str">
        <x:v>US tons/yd³</x:v>
      </x:c>
      <x:c r="D13" s="2"/>
      <x:c r="E13" s="5" t="str">
        <x:v>Materials to order</x:v>
      </x:c>
      <x:c r="F13" s="13" t="str">
        <x:v>Quantity</x:v>
      </x:c>
      <x:c r="G13" s="5" t="str">
        <x:v>Unit</x:v>
      </x:c>
      <x:c r="H13" s="5" t="str">
        <x:v>USD / unit</x:v>
      </x:c>
      <x:c r="I13" s="5" t="str">
        <x:v>Line cost</x:v>
      </x:c>
    </x:row>
    <x:row r="14" ht="16" customHeight="1">
      <x:c r="A14" s="2" t="str">
        <x:v>Drainage zone width</x:v>
      </x:c>
      <x:c r="B14" s="26" t="n">
        <x:v>12</x:v>
      </x:c>
      <x:c r="C14" s="2" t="str">
        <x:v>in</x:v>
      </x:c>
      <x:c r="D14" s="2"/>
      <x:c r="E14" s="2" t="str">
        <x:v>Wall units</x:v>
      </x:c>
      <x:c r="F14" s="14" t="n">
        <x:f>ROUNDUP(SUM(F9:F10)*(1+B11)-1E-9,0)</x:f>
        <x:v>178</x:v>
      </x:c>
      <x:c r="G14" s="2" t="str">
        <x:v>blocks</x:v>
      </x:c>
      <x:c r="H14" s="28" t="n">
        <x:v>2.75</x:v>
      </x:c>
      <x:c r="I14" s="11" t="n">
        <x:f>F14*H14</x:f>
        <x:v>489.5</x:v>
      </x:c>
    </x:row>
    <x:row r="15" ht="16" customHeight="1">
      <x:c r="A15" s="2" t="str">
        <x:v>Base width</x:v>
      </x:c>
      <x:c r="B15" s="26" t="n">
        <x:v>22</x:v>
      </x:c>
      <x:c r="C15" s="2" t="str">
        <x:v>in</x:v>
      </x:c>
      <x:c r="D15" s="2"/>
      <x:c r="E15" s="2" t="str">
        <x:v>Cap stones</x:v>
      </x:c>
      <x:c r="F15" s="14" t="n">
        <x:f>IF(B28=1,ROUNDUP(F30*(1+B11)-1E-9,0),0)</x:f>
        <x:v>26</x:v>
      </x:c>
      <x:c r="G15" s="2" t="str">
        <x:v>caps</x:v>
      </x:c>
      <x:c r="H15" s="28" t="n">
        <x:v>4.5</x:v>
      </x:c>
      <x:c r="I15" s="11" t="n">
        <x:f>F15*H15</x:f>
        <x:v>117</x:v>
      </x:c>
    </x:row>
    <x:row r="16" ht="16" customHeight="1">
      <x:c r="A16" s="2" t="str">
        <x:v>Compacted base depth</x:v>
      </x:c>
      <x:c r="B16" s="26" t="n">
        <x:v>6</x:v>
      </x:c>
      <x:c r="C16" s="2" t="str">
        <x:v>in</x:v>
      </x:c>
      <x:c r="D16" s="2"/>
      <x:c r="E16" s="2" t="str">
        <x:v>Leveling base gravel</x:v>
      </x:c>
      <x:c r="F16" s="12" t="n">
        <x:f>IF(B29=1,B5*B15*B16/3888*(1+B12),0)</x:f>
        <x:v>1.1203703703703705</x:v>
      </x:c>
      <x:c r="G16" s="2" t="str">
        <x:v>yd³</x:v>
      </x:c>
      <x:c r="H16" s="28" t="n">
        <x:v>60</x:v>
      </x:c>
      <x:c r="I16" s="11" t="n">
        <x:f>F16*H16</x:f>
        <x:v>67.22222222222223</x:v>
      </x:c>
    </x:row>
    <x:row r="17" ht="16" customHeight="1">
      <x:c r="A17" s="2" t="str">
        <x:v>Cap coverage length</x:v>
      </x:c>
      <x:c r="B17" s="26" t="n">
        <x:v>16</x:v>
      </x:c>
      <x:c r="C17" s="2" t="str">
        <x:v>in</x:v>
      </x:c>
      <x:c r="D17" s="2"/>
      <x:c r="E17" s="2" t="str">
        <x:v>Drainage and core-fill stone</x:v>
      </x:c>
      <x:c r="F17" s="12" t="n">
        <x:f>IF(B30=1,(B5*B14/12*MAX(0,F12-B18/12)+SUM(F9:F10)*B19)/27*(1+B12),0)</x:f>
        <x:v>3.666666666666667</x:v>
      </x:c>
      <x:c r="G17" s="2" t="str">
        <x:v>yd³</x:v>
      </x:c>
      <x:c r="H17" s="28" t="n">
        <x:v>70</x:v>
      </x:c>
      <x:c r="I17" s="11" t="n">
        <x:f>F17*H17</x:f>
        <x:v>256.6666666666667</x:v>
      </x:c>
    </x:row>
    <x:row r="18" ht="16" customHeight="1">
      <x:c r="A18" s="2" t="str">
        <x:v>Soil cap depth</x:v>
      </x:c>
      <x:c r="B18" s="26" t="n">
        <x:v>6</x:v>
      </x:c>
      <x:c r="C18" s="2" t="str">
        <x:v>in</x:v>
      </x:c>
      <x:c r="D18" s="2"/>
      <x:c r="E18" s="2" t="str">
        <x:v>Drain pipe</x:v>
      </x:c>
      <x:c r="F18" s="12" t="n">
        <x:f>IF(B31=1,B5+B20,0)</x:f>
        <x:v>34</x:v>
      </x:c>
      <x:c r="G18" s="2" t="str">
        <x:v>ft</x:v>
      </x:c>
      <x:c r="H18" s="28" t="n">
        <x:v>1.25</x:v>
      </x:c>
      <x:c r="I18" s="11" t="n">
        <x:f>F18*H18</x:f>
        <x:v>42.5</x:v>
      </x:c>
    </x:row>
    <x:row r="19" ht="16" customHeight="1">
      <x:c r="A19" s="2" t="str">
        <x:v>Core fill per net block</x:v>
      </x:c>
      <x:c r="B19" s="26" t="n">
        <x:v>0</x:v>
      </x:c>
      <x:c r="C19" s="2" t="str">
        <x:v>ft³</x:v>
      </x:c>
      <x:c r="D19" s="2"/>
      <x:c r="E19" s="2" t="str">
        <x:v>Geotextile fabric</x:v>
      </x:c>
      <x:c r="F19" s="12" t="n">
        <x:f>IF(B32=1,B5*(F12+B14/12)*(1+B22),0)</x:f>
        <x:v>155.25</x:v>
      </x:c>
      <x:c r="G19" s="2" t="str">
        <x:v>ft²</x:v>
      </x:c>
      <x:c r="H19" s="28" t="n">
        <x:v>0.18</x:v>
      </x:c>
      <x:c r="I19" s="11" t="n">
        <x:f>F19*H19</x:f>
        <x:v>27.945</x:v>
      </x:c>
    </x:row>
    <x:row r="20" ht="16" customHeight="1">
      <x:c r="A20" s="2" t="str">
        <x:v>Pipe outlet allowance</x:v>
      </x:c>
      <x:c r="B20" s="26" t="n">
        <x:v>4</x:v>
      </x:c>
      <x:c r="C20" s="2" t="str">
        <x:v>ft</x:v>
      </x:c>
      <x:c r="D20" s="2"/>
      <x:c r="E20" s="2" t="str">
        <x:v>Cap adhesive</x:v>
      </x:c>
      <x:c r="F20" s="14" t="n">
        <x:f>IF(AND(B28=1,B33=1),ROUNDUP(MAX(0,B5*B23*(1+B11)/B24-1E-9),0),0)</x:f>
        <x:v>5</x:v>
      </x:c>
      <x:c r="G20" s="2" t="str">
        <x:v>tubes</x:v>
      </x:c>
      <x:c r="H20" s="28" t="n">
        <x:v>7.5</x:v>
      </x:c>
      <x:c r="I20" s="11" t="n">
        <x:f>F20*H20</x:f>
        <x:v>37.5</x:v>
      </x:c>
    </x:row>
    <x:row r="21" ht="16" customHeight="1">
      <x:c r="A21" s="2" t="str">
        <x:v>Pipe roll length</x:v>
      </x:c>
      <x:c r="B21" s="26" t="n">
        <x:v>50</x:v>
      </x:c>
      <x:c r="C21" s="2" t="str">
        <x:v>ft</x:v>
      </x:c>
      <x:c r="D21" s="2"/>
      <x:c r="E21" s="2" t="str">
        <x:v>Geogrid from your plan</x:v>
      </x:c>
      <x:c r="F21" s="12" t="n">
        <x:f>IF(B34=1,B5*B25*B26*(1+B11),0)</x:f>
        <x:v>0</x:v>
      </x:c>
      <x:c r="G21" s="2" t="str">
        <x:v>ft²</x:v>
      </x:c>
      <x:c r="H21" s="28" t="n">
        <x:v>0.6</x:v>
      </x:c>
      <x:c r="I21" s="11" t="n">
        <x:f>F21*H21</x:f>
        <x:v>0</x:v>
      </x:c>
    </x:row>
    <x:row r="22" ht="16" customHeight="1">
      <x:c r="A22" s="2" t="str">
        <x:v>Fabric overlap</x:v>
      </x:c>
      <x:c r="B22" s="27" t="n">
        <x:v>0.15</x:v>
      </x:c>
      <x:c r="C22" s="2" t="str">
        <x:v>%</x:v>
      </x:c>
      <x:c r="D22" s="2"/>
      <x:c r="E22" s="2"/>
      <x:c r="F22" s="12"/>
      <x:c r="G22" s="2"/>
      <x:c r="H22" s="2"/>
      <x:c r="I22" s="11"/>
    </x:row>
    <x:row r="23" ht="16" customHeight="1">
      <x:c r="A23" s="2" t="str">
        <x:v>Adhesive beads</x:v>
      </x:c>
      <x:c r="B23" s="26" t="n">
        <x:v>2</x:v>
      </x:c>
      <x:c r="C23" s="2" t="str">
        <x:v>beads</x:v>
      </x:c>
      <x:c r="D23" s="2"/>
      <x:c r="E23" s="2" t="str">
        <x:v>Materials subtotal</x:v>
      </x:c>
      <x:c r="F23" s="12"/>
      <x:c r="G23" s="2"/>
      <x:c r="H23" s="2"/>
      <x:c r="I23" s="11" t="n">
        <x:f>SUM(I14:I21)</x:f>
        <x:v>1038.3338888888889</x:v>
      </x:c>
    </x:row>
    <x:row r="24" ht="16" customHeight="1">
      <x:c r="A24" s="2" t="str">
        <x:v>Adhesive coverage per tube</x:v>
      </x:c>
      <x:c r="B24" s="26" t="n">
        <x:v>13.6</x:v>
      </x:c>
      <x:c r="C24" s="2" t="str">
        <x:v>ft</x:v>
      </x:c>
      <x:c r="D24" s="2"/>
      <x:c r="E24" s="2" t="str">
        <x:v>Delivery</x:v>
      </x:c>
      <x:c r="F24" s="12"/>
      <x:c r="G24" s="2"/>
      <x:c r="H24" s="2"/>
      <x:c r="I24" s="11" t="n">
        <x:f>B35</x:f>
        <x:v>75</x:v>
      </x:c>
    </x:row>
    <x:row r="25" ht="16" customHeight="1">
      <x:c r="A25" s="2" t="str">
        <x:v>Geogrid layers</x:v>
      </x:c>
      <x:c r="B25" s="26" t="n">
        <x:v>2</x:v>
      </x:c>
      <x:c r="C25" s="2" t="str">
        <x:v>layers</x:v>
      </x:c>
      <x:c r="D25" s="2"/>
      <x:c r="E25" s="2" t="str">
        <x:v>Labor</x:v>
      </x:c>
      <x:c r="F25" s="12"/>
      <x:c r="G25" s="2"/>
      <x:c r="H25" s="2"/>
      <x:c r="I25" s="11" t="n">
        <x:f>F5*B36</x:f>
        <x:v>0</x:v>
      </x:c>
    </x:row>
    <x:row r="26" ht="16" customHeight="1">
      <x:c r="A26" s="2" t="str">
        <x:v>Geogrid depth</x:v>
      </x:c>
      <x:c r="B26" s="26" t="n">
        <x:v>3</x:v>
      </x:c>
      <x:c r="C26" s="2" t="str">
        <x:v>ft</x:v>
      </x:c>
      <x:c r="D26" s="2"/>
      <x:c r="E26" s="2" t="str">
        <x:v>Modeled tax</x:v>
      </x:c>
      <x:c r="F26" s="12"/>
      <x:c r="G26" s="2"/>
      <x:c r="H26" s="2"/>
      <x:c r="I26" s="11" t="n">
        <x:f>SUM(I23:I24)*B37</x:f>
        <x:v>0</x:v>
      </x:c>
    </x:row>
    <x:row r="27" ht="16" customHeight="1">
      <x:c r="A27" s="2" t="str">
        <x:v>Blocks per pallet</x:v>
      </x:c>
      <x:c r="B27" s="26" t="n">
        <x:v>75</x:v>
      </x:c>
      <x:c r="C27" s="2" t="str">
        <x:v>blocks</x:v>
      </x:c>
      <x:c r="D27" s="2"/>
      <x:c r="E27" s="18" t="str">
        <x:v>Estimated total</x:v>
      </x:c>
      <x:c r="F27" s="19"/>
      <x:c r="G27" s="18"/>
      <x:c r="H27" s="18"/>
      <x:c r="I27" s="20" t="n">
        <x:f>SUM(I23:I26)</x:f>
        <x:v>1113.3338888888889</x:v>
      </x:c>
    </x:row>
    <x:row r="28" ht="16" customHeight="1">
      <x:c r="A28" s="2" t="str">
        <x:v>Include cap stones</x:v>
      </x:c>
      <x:c r="B28" s="26" t="n">
        <x:v>1</x:v>
      </x:c>
      <x:c r="C28" s="2" t="str">
        <x:v>1 or 0</x:v>
      </x:c>
      <x:c r="D28" s="2"/>
      <x:c r="E28" s="2"/>
      <x:c r="F28" s="12"/>
      <x:c r="G28" s="2"/>
      <x:c r="H28" s="2"/>
      <x:c r="I28" s="2"/>
    </x:row>
    <x:row r="29" ht="23" customHeight="1">
      <x:c r="A29" s="2" t="str">
        <x:v>Include base gravel</x:v>
      </x:c>
      <x:c r="B29" s="26" t="n">
        <x:v>1</x:v>
      </x:c>
      <x:c r="C29" s="2" t="str">
        <x:v>1 or 0</x:v>
      </x:c>
      <x:c r="D29" s="2"/>
      <x:c r="E29" s="5" t="str">
        <x:v>Supplier packaging and weight</x:v>
      </x:c>
      <x:c r="F29" s="13" t="str">
        <x:v>Supplier packaging and weight</x:v>
      </x:c>
      <x:c r="G29" s="5" t="str">
        <x:v>Supplier packaging and weight</x:v>
      </x:c>
      <x:c r="H29" s="5" t="str">
        <x:v>Supplier packaging and weight</x:v>
      </x:c>
      <x:c r="I29" s="5" t="str">
        <x:v>Supplier packaging and weight</x:v>
      </x:c>
    </x:row>
    <x:row r="30" ht="16" customHeight="1">
      <x:c r="A30" s="2" t="str">
        <x:v>Include drainage stone</x:v>
      </x:c>
      <x:c r="B30" s="26" t="n">
        <x:v>1</x:v>
      </x:c>
      <x:c r="C30" s="2" t="str">
        <x:v>1 or 0</x:v>
      </x:c>
      <x:c r="D30" s="2"/>
      <x:c r="E30" s="2" t="str">
        <x:v>Net caps</x:v>
      </x:c>
      <x:c r="F30" s="14" t="n">
        <x:f>IF(B28=1,ROUNDUP(B5*12/B17-1E-9,0),0)</x:f>
        <x:v>23</x:v>
      </x:c>
      <x:c r="G30" s="2" t="str">
        <x:v>caps</x:v>
      </x:c>
      <x:c r="H30" s="2"/>
      <x:c r="I30" s="2"/>
    </x:row>
    <x:row r="31" ht="16" customHeight="1">
      <x:c r="A31" s="2" t="str">
        <x:v>Include drain pipe</x:v>
      </x:c>
      <x:c r="B31" s="26" t="n">
        <x:v>1</x:v>
      </x:c>
      <x:c r="C31" s="2" t="str">
        <x:v>1 or 0</x:v>
      </x:c>
      <x:c r="D31" s="2"/>
      <x:c r="E31" s="2" t="str">
        <x:v>Whole pipe rolls</x:v>
      </x:c>
      <x:c r="F31" s="14" t="n">
        <x:f>IF(F18&gt;0,ROUNDUP(MAX(0,F18/B21-1E-9),0),0)</x:f>
        <x:v>1</x:v>
      </x:c>
      <x:c r="G31" s="2" t="str">
        <x:v>rolls</x:v>
      </x:c>
      <x:c r="H31" s="2"/>
      <x:c r="I31" s="2"/>
    </x:row>
    <x:row r="32" ht="16" customHeight="1">
      <x:c r="A32" s="2" t="str">
        <x:v>Include geotextile</x:v>
      </x:c>
      <x:c r="B32" s="26" t="n">
        <x:v>1</x:v>
      </x:c>
      <x:c r="C32" s="2" t="str">
        <x:v>1 or 0</x:v>
      </x:c>
      <x:c r="D32" s="2"/>
      <x:c r="E32" s="2" t="str">
        <x:v>Estimated stone mass</x:v>
      </x:c>
      <x:c r="F32" s="12" t="n">
        <x:f>SUM(F16:F17)*B13</x:f>
        <x:v>6.701851851851852</x:v>
      </x:c>
      <x:c r="G32" s="2" t="str">
        <x:v>US tons</x:v>
      </x:c>
      <x:c r="H32" s="2"/>
      <x:c r="I32" s="2"/>
    </x:row>
    <x:row r="33" ht="16" customHeight="1">
      <x:c r="A33" s="2" t="str">
        <x:v>Include cap adhesive</x:v>
      </x:c>
      <x:c r="B33" s="26" t="n">
        <x:v>1</x:v>
      </x:c>
      <x:c r="C33" s="2" t="str">
        <x:v>1 or 0</x:v>
      </x:c>
      <x:c r="D33" s="2"/>
      <x:c r="E33" s="2" t="str">
        <x:v>Whole block pallets</x:v>
      </x:c>
      <x:c r="F33" s="14" t="n">
        <x:f>ROUNDUP(F14/B27-1E-9,0)</x:f>
        <x:v>3</x:v>
      </x:c>
      <x:c r="G33" s="2" t="str">
        <x:v>pallets</x:v>
      </x:c>
      <x:c r="H33" s="2"/>
      <x:c r="I33" s="2"/>
    </x:row>
    <x:row r="34" ht="16" customHeight="1">
      <x:c r="A34" s="2" t="str">
        <x:v>Include geogrid</x:v>
      </x:c>
      <x:c r="B34" s="26" t="n">
        <x:v>0</x:v>
      </x:c>
      <x:c r="C34" s="2" t="str">
        <x:v>1 or 0</x:v>
      </x:c>
      <x:c r="D34" s="2"/>
      <x:c r="E34" s="2"/>
      <x:c r="F34" s="2"/>
      <x:c r="G34" s="2"/>
      <x:c r="H34" s="2"/>
      <x:c r="I34" s="2"/>
    </x:row>
    <x:row r="35" ht="16" customHeight="1">
      <x:c r="A35" s="2" t="str">
        <x:v>Delivery</x:v>
      </x:c>
      <x:c r="B35" s="29" t="n">
        <x:v>75</x:v>
      </x:c>
      <x:c r="C35" s="2" t="str">
        <x:v>USD</x:v>
      </x:c>
      <x:c r="D35" s="2"/>
      <x:c r="E35" s="23" t="str">
        <x:v>Quantities are rounded for display. Costs use unrounded quantities. Confirm pack sizes and order minimums with the supplier.</x:v>
      </x:c>
      <x:c r="F35" s="23"/>
      <x:c r="G35" s="23"/>
      <x:c r="H35" s="23"/>
      <x:c r="I35" s="23"/>
    </x:row>
    <x:row r="36" ht="16" customHeight="1">
      <x:c r="A36" s="2" t="str">
        <x:v>Labor rate</x:v>
      </x:c>
      <x:c r="B36" s="29" t="n">
        <x:v>0</x:v>
      </x:c>
      <x:c r="C36" s="2" t="str">
        <x:v>USD/ft²</x:v>
      </x:c>
      <x:c r="D36" s="2"/>
      <x:c r="E36" s="23"/>
      <x:c r="F36" s="23"/>
      <x:c r="G36" s="23"/>
      <x:c r="H36" s="23"/>
      <x:c r="I36" s="23"/>
    </x:row>
    <x:row r="37" ht="16" customHeight="1">
      <x:c r="A37" s="2" t="str">
        <x:v>Tax rate</x:v>
      </x:c>
      <x:c r="B37" s="27" t="n">
        <x:v>0</x:v>
      </x:c>
      <x:c r="C37" s="2" t="str">
        <x:v>%</x:v>
      </x:c>
      <x:c r="D37" s="2"/>
      <x:c r="E37" s="2"/>
      <x:c r="F37" s="2"/>
      <x:c r="G37" s="2"/>
      <x:c r="H37" s="2"/>
      <x:c r="I37" s="2"/>
    </x:row>
  </x:sheetData>
  <x:sheetProtection sheet="1"/>
  <x:mergeCells>
    <x:mergeCell ref="A1:I1"/>
    <x:mergeCell ref="A2:I2"/>
    <x:mergeCell ref="A4:C4"/>
    <x:mergeCell ref="E4:I4"/>
    <x:mergeCell ref="E29:I29"/>
    <x:mergeCell ref="E35:I36"/>
  </x:mergeCells>
  <x:pageMargins left="0.7" right="0.7" top="0.75" bottom="0.75" header="0.3" footer="0.3"/>
  <x:pageSetup paperSize="1" orientation="landscape" fitToWidth="1" fitToHeight="1"/>
</x:worksheet>
</file>

<file path=xl/worksheets/sheet2.xml><?xml version="1.0" encoding="utf-8"?>
<x:worksheet xmlns:x="http://schemas.openxmlformats.org/spreadsheetml/2006/main">
  <x:sheetPr>
    <x:pageSetUpPr fitToPage="1"/>
  </x:sheetPr>
  <x:sheetViews>
    <x:sheetView showGridLines="0" workbookViewId="0"/>
  </x:sheetViews>
  <x:sheetFormatPr defaultRowHeight="15"/>
  <x:cols>
    <x:col min="1" max="1" width="30" hidden="0" customWidth="1"/>
    <x:col min="2" max="2" width="16" hidden="0" customWidth="1"/>
    <x:col min="3" max="3" width="14" hidden="0" customWidth="1"/>
    <x:col min="4" max="4" width="3" hidden="0" customWidth="1"/>
    <x:col min="5" max="5" width="34" hidden="0" customWidth="1"/>
    <x:col min="6" max="6" width="14" hidden="0" customWidth="1"/>
    <x:col min="7" max="7" width="12" hidden="0" customWidth="1"/>
    <x:col min="8" max="8" width="15" hidden="0" customWidth="1"/>
    <x:col min="9" max="9" width="16" hidden="0" customWidth="1"/>
  </x:cols>
  <x:sheetData>
    <x:row r="1" ht="23" customHeight="1">
      <x:c r="A1" s="5" t="str">
        <x:v>Retaining Wall Calc | Estimate (metric)</x:v>
      </x:c>
      <x:c r="B1" s="5" t="str">
        <x:v>Retaining Wall Calc | Estimate (metric)</x:v>
      </x:c>
      <x:c r="C1" s="5" t="str">
        <x:v>Retaining Wall Calc | Estimate (metric)</x:v>
      </x:c>
      <x:c r="D1" s="5" t="str">
        <x:v>Retaining Wall Calc | Estimate (metric)</x:v>
      </x:c>
      <x:c r="E1" s="5" t="str">
        <x:v>Retaining Wall Calc | Estimate (metric)</x:v>
      </x:c>
      <x:c r="F1" s="5" t="str">
        <x:v>Retaining Wall Calc | Estimate (metric)</x:v>
      </x:c>
      <x:c r="G1" s="5" t="str">
        <x:v>Retaining Wall Calc | Estimate (metric)</x:v>
      </x:c>
      <x:c r="H1" s="5" t="str">
        <x:v>Retaining Wall Calc | Estimate (metric)</x:v>
      </x:c>
      <x:c r="I1" s="5" t="str">
        <x:v>Retaining Wall Calc | Estimate (metric)</x:v>
      </x:c>
    </x:row>
    <x:row r="2" ht="16" customHeight="1">
      <x:c r="A2" s="2" t="str">
        <x:v>Edit the blue cells · Default straight-wall example · Quantities only, not a design</x:v>
      </x:c>
      <x:c r="B2" s="2"/>
      <x:c r="C2" s="2"/>
      <x:c r="D2" s="2"/>
      <x:c r="E2" s="2"/>
      <x:c r="F2" s="2"/>
      <x:c r="G2" s="2"/>
      <x:c r="H2" s="2"/>
      <x:c r="I2" s="2"/>
    </x:row>
    <x:row r="3" ht="16" customHeight="1">
      <x:c r="A3" s="2"/>
      <x:c r="B3" s="2"/>
      <x:c r="C3" s="2"/>
      <x:c r="D3" s="2"/>
      <x:c r="E3" s="2"/>
      <x:c r="F3" s="2"/>
      <x:c r="G3" s="2"/>
      <x:c r="H3" s="2"/>
      <x:c r="I3" s="2"/>
    </x:row>
    <x:row r="4" ht="23" customHeight="1">
      <x:c r="A4" s="5" t="str">
        <x:v>Wall inputs and assumptions</x:v>
      </x:c>
      <x:c r="B4" s="5" t="str">
        <x:v>Wall inputs and assumptions</x:v>
      </x:c>
      <x:c r="C4" s="5" t="str">
        <x:v>Wall inputs and assumptions</x:v>
      </x:c>
      <x:c r="D4" s="2"/>
      <x:c r="E4" s="5" t="str">
        <x:v>Wall geometry and block takeoff</x:v>
      </x:c>
      <x:c r="F4" s="5" t="str">
        <x:v>Wall geometry and block takeoff</x:v>
      </x:c>
      <x:c r="G4" s="5" t="str">
        <x:v>Wall geometry and block takeoff</x:v>
      </x:c>
      <x:c r="H4" s="5" t="str">
        <x:v>Wall geometry and block takeoff</x:v>
      </x:c>
      <x:c r="I4" s="5" t="str">
        <x:v>Wall geometry and block takeoff</x:v>
      </x:c>
    </x:row>
    <x:row r="5" ht="16" customHeight="1">
      <x:c r="A5" s="2" t="str">
        <x:v>Wall length</x:v>
      </x:c>
      <x:c r="B5" s="30" t="n">
        <x:v>9</x:v>
      </x:c>
      <x:c r="C5" s="2" t="str">
        <x:v>m</x:v>
      </x:c>
      <x:c r="D5" s="2"/>
      <x:c r="E5" s="2" t="str">
        <x:v>Exposed face area</x:v>
      </x:c>
      <x:c r="F5" s="12" t="n">
        <x:f>B5*B6</x:f>
        <x:v>8.1</x:v>
      </x:c>
      <x:c r="G5" s="2" t="str">
        <x:v>m²</x:v>
      </x:c>
      <x:c r="H5" s="2"/>
      <x:c r="I5" s="2"/>
    </x:row>
    <x:row r="6" ht="16" customHeight="1">
      <x:c r="A6" s="2" t="str">
        <x:v>Exposed height</x:v>
      </x:c>
      <x:c r="B6" s="30" t="n">
        <x:v>0.9</x:v>
      </x:c>
      <x:c r="C6" s="2" t="str">
        <x:v>m</x:v>
      </x:c>
      <x:c r="D6" s="2"/>
      <x:c r="E6" s="2" t="str">
        <x:v>Units per course</x:v>
      </x:c>
      <x:c r="F6" s="12" t="n">
        <x:f>ROUNDUP(B5*1000/B8-1E-9,0)</x:f>
        <x:v>23</x:v>
      </x:c>
      <x:c r="G6" s="2" t="str">
        <x:v>blocks</x:v>
      </x:c>
      <x:c r="H6" s="2"/>
      <x:c r="I6" s="2"/>
    </x:row>
    <x:row r="7" ht="16" customHeight="1">
      <x:c r="A7" s="2" t="str">
        <x:v>Buried courses</x:v>
      </x:c>
      <x:c r="B7" s="30" t="n">
        <x:v>1</x:v>
      </x:c>
      <x:c r="C7" s="2" t="str">
        <x:v>courses</x:v>
      </x:c>
      <x:c r="D7" s="2"/>
      <x:c r="E7" s="2" t="str">
        <x:v>Exposed courses</x:v>
      </x:c>
      <x:c r="F7" s="12" t="n">
        <x:f>ROUNDUP(B6*1000/B9-1E-9,0)</x:f>
        <x:v>6</x:v>
      </x:c>
      <x:c r="G7" s="2" t="str">
        <x:v>courses</x:v>
      </x:c>
      <x:c r="H7" s="2"/>
      <x:c r="I7" s="2"/>
    </x:row>
    <x:row r="8" ht="16" customHeight="1">
      <x:c r="A8" s="2" t="str">
        <x:v>Block length</x:v>
      </x:c>
      <x:c r="B8" s="30" t="n">
        <x:v>400</x:v>
      </x:c>
      <x:c r="C8" s="2" t="str">
        <x:v>mm</x:v>
      </x:c>
      <x:c r="D8" s="2"/>
      <x:c r="E8" s="2" t="str">
        <x:v>Total courses</x:v>
      </x:c>
      <x:c r="F8" s="12" t="n">
        <x:f>F7+B7</x:f>
        <x:v>7</x:v>
      </x:c>
      <x:c r="G8" s="2" t="str">
        <x:v>courses</x:v>
      </x:c>
      <x:c r="H8" s="2"/>
      <x:c r="I8" s="2"/>
    </x:row>
    <x:row r="9" ht="16" customHeight="1">
      <x:c r="A9" s="2" t="str">
        <x:v>Block height</x:v>
      </x:c>
      <x:c r="B9" s="30" t="n">
        <x:v>150</x:v>
      </x:c>
      <x:c r="C9" s="2" t="str">
        <x:v>mm</x:v>
      </x:c>
      <x:c r="D9" s="2"/>
      <x:c r="E9" s="2" t="str">
        <x:v>Exposed wall units</x:v>
      </x:c>
      <x:c r="F9" s="12" t="n">
        <x:f>F6*F7</x:f>
        <x:v>138</x:v>
      </x:c>
      <x:c r="G9" s="2" t="str">
        <x:v>blocks</x:v>
      </x:c>
      <x:c r="H9" s="2"/>
      <x:c r="I9" s="2"/>
    </x:row>
    <x:row r="10" ht="16" customHeight="1">
      <x:c r="A10" s="2" t="str">
        <x:v>Block depth</x:v>
      </x:c>
      <x:c r="B10" s="30" t="n">
        <x:v>250</x:v>
      </x:c>
      <x:c r="C10" s="2" t="str">
        <x:v>mm</x:v>
      </x:c>
      <x:c r="D10" s="2"/>
      <x:c r="E10" s="2" t="str">
        <x:v>Buried wall units</x:v>
      </x:c>
      <x:c r="F10" s="12" t="n">
        <x:f>F6*B7</x:f>
        <x:v>23</x:v>
      </x:c>
      <x:c r="G10" s="2" t="str">
        <x:v>blocks</x:v>
      </x:c>
      <x:c r="H10" s="2"/>
      <x:c r="I10" s="2"/>
    </x:row>
    <x:row r="11" ht="16" customHeight="1">
      <x:c r="A11" s="2" t="str">
        <x:v>Cutting allowance</x:v>
      </x:c>
      <x:c r="B11" s="31" t="n">
        <x:v>0.1</x:v>
      </x:c>
      <x:c r="C11" s="2" t="str">
        <x:v>%</x:v>
      </x:c>
      <x:c r="D11" s="2"/>
      <x:c r="E11" s="2" t="str">
        <x:v>Extra wall units for cuts</x:v>
      </x:c>
      <x:c r="F11" s="12" t="n">
        <x:f>F14-SUM(F9:F10)</x:f>
        <x:v>17</x:v>
      </x:c>
      <x:c r="G11" s="2" t="str">
        <x:v>blocks</x:v>
      </x:c>
      <x:c r="H11" s="2"/>
      <x:c r="I11" s="2"/>
    </x:row>
    <x:row r="12" ht="24" customHeight="1">
      <x:c r="A12" s="2" t="str">
        <x:v>Stone allowance</x:v>
      </x:c>
      <x:c r="B12" s="31" t="n">
        <x:v>0.1</x:v>
      </x:c>
      <x:c r="C12" s="2" t="str">
        <x:v>%</x:v>
      </x:c>
      <x:c r="D12" s="2"/>
      <x:c r="E12" s="2" t="str">
        <x:v>Built wall height</x:v>
      </x:c>
      <x:c r="F12" s="12" t="n">
        <x:f>F8*B9/1000</x:f>
        <x:v>1.05</x:v>
      </x:c>
      <x:c r="G12" s="2" t="str">
        <x:v>m</x:v>
      </x:c>
      <x:c r="H12" s="39" t="str">
        <x:v>Example prices only — enter your supplier's prices</x:v>
      </x:c>
      <x:c r="I12" s="39"/>
    </x:row>
    <x:row r="13" ht="16" customHeight="1">
      <x:c r="A13" s="2" t="str">
        <x:v>Stone bulk density</x:v>
      </x:c>
      <x:c r="B13" s="30" t="n">
        <x:v>1.66</x:v>
      </x:c>
      <x:c r="C13" s="2" t="str">
        <x:v>tonnes/m³</x:v>
      </x:c>
      <x:c r="D13" s="2"/>
      <x:c r="E13" s="5" t="str">
        <x:v>Materials to order</x:v>
      </x:c>
      <x:c r="F13" s="13" t="str">
        <x:v>Quantity</x:v>
      </x:c>
      <x:c r="G13" s="5" t="str">
        <x:v>Unit</x:v>
      </x:c>
      <x:c r="H13" s="5" t="str">
        <x:v>Price / unit</x:v>
      </x:c>
      <x:c r="I13" s="5" t="str">
        <x:v>Line cost</x:v>
      </x:c>
    </x:row>
    <x:row r="14" ht="16" customHeight="1">
      <x:c r="A14" s="2" t="str">
        <x:v>Drainage zone width</x:v>
      </x:c>
      <x:c r="B14" s="30" t="n">
        <x:v>300</x:v>
      </x:c>
      <x:c r="C14" s="2" t="str">
        <x:v>mm</x:v>
      </x:c>
      <x:c r="D14" s="2"/>
      <x:c r="E14" s="2" t="str">
        <x:v>Wall units</x:v>
      </x:c>
      <x:c r="F14" s="12" t="n">
        <x:f>ROUNDUP(SUM(F9:F10)*(1+B11)-1E-9,0)</x:f>
        <x:v>178</x:v>
      </x:c>
      <x:c r="G14" s="2" t="str">
        <x:v>blocks</x:v>
      </x:c>
      <x:c r="H14" s="33" t="n">
        <x:v>2.75</x:v>
      </x:c>
      <x:c r="I14" s="12" t="n">
        <x:f>F14*H14</x:f>
        <x:v>489.5</x:v>
      </x:c>
    </x:row>
    <x:row r="15" ht="16" customHeight="1">
      <x:c r="A15" s="2" t="str">
        <x:v>Base width</x:v>
      </x:c>
      <x:c r="B15" s="30" t="n">
        <x:v>560</x:v>
      </x:c>
      <x:c r="C15" s="2" t="str">
        <x:v>mm</x:v>
      </x:c>
      <x:c r="D15" s="2"/>
      <x:c r="E15" s="2" t="str">
        <x:v>Cap stones</x:v>
      </x:c>
      <x:c r="F15" s="12" t="n">
        <x:f>IF(B28=1,ROUNDUP(F30*(1+B11)-1E-9,0),0)</x:f>
        <x:v>26</x:v>
      </x:c>
      <x:c r="G15" s="2" t="str">
        <x:v>caps</x:v>
      </x:c>
      <x:c r="H15" s="33" t="n">
        <x:v>4.5</x:v>
      </x:c>
      <x:c r="I15" s="12" t="n">
        <x:f>F15*H15</x:f>
        <x:v>117</x:v>
      </x:c>
    </x:row>
    <x:row r="16" ht="16" customHeight="1">
      <x:c r="A16" s="2" t="str">
        <x:v>Compacted base depth</x:v>
      </x:c>
      <x:c r="B16" s="30" t="n">
        <x:v>150</x:v>
      </x:c>
      <x:c r="C16" s="2" t="str">
        <x:v>mm</x:v>
      </x:c>
      <x:c r="D16" s="2"/>
      <x:c r="E16" s="2" t="str">
        <x:v>Levelling base gravel</x:v>
      </x:c>
      <x:c r="F16" s="12" t="n">
        <x:f>IF(B29=1,B5*B15*B16/1000000*(1+B12),0)</x:f>
        <x:v>0.8316000000000001</x:v>
      </x:c>
      <x:c r="G16" s="2" t="str">
        <x:v>m³</x:v>
      </x:c>
      <x:c r="H16" s="33" t="n">
        <x:v>78.48</x:v>
      </x:c>
      <x:c r="I16" s="12" t="n">
        <x:f>F16*H16</x:f>
        <x:v>65.263968</x:v>
      </x:c>
    </x:row>
    <x:row r="17" ht="16" customHeight="1">
      <x:c r="A17" s="2" t="str">
        <x:v>Cap coverage length</x:v>
      </x:c>
      <x:c r="B17" s="30" t="n">
        <x:v>400</x:v>
      </x:c>
      <x:c r="C17" s="2" t="str">
        <x:v>mm</x:v>
      </x:c>
      <x:c r="D17" s="2"/>
      <x:c r="E17" s="2" t="str">
        <x:v>Drainage and core-fill stone</x:v>
      </x:c>
      <x:c r="F17" s="12" t="n">
        <x:f>IF(B30=1,(B5*B14/1000*MAX(0,F12-B18/1000)+SUM(F9:F10)*B19)/1*(1+B12),0)</x:f>
        <x:v>2.6730000000000005</x:v>
      </x:c>
      <x:c r="G17" s="2" t="str">
        <x:v>m³</x:v>
      </x:c>
      <x:c r="H17" s="33" t="n">
        <x:v>91.56</x:v>
      </x:c>
      <x:c r="I17" s="12" t="n">
        <x:f>F17*H17</x:f>
        <x:v>244.73988000000006</x:v>
      </x:c>
    </x:row>
    <x:row r="18" ht="16" customHeight="1">
      <x:c r="A18" s="2" t="str">
        <x:v>Soil cap depth</x:v>
      </x:c>
      <x:c r="B18" s="30" t="n">
        <x:v>150</x:v>
      </x:c>
      <x:c r="C18" s="2" t="str">
        <x:v>mm</x:v>
      </x:c>
      <x:c r="D18" s="2"/>
      <x:c r="E18" s="2" t="str">
        <x:v>Drain pipe</x:v>
      </x:c>
      <x:c r="F18" s="12" t="n">
        <x:f>IF(B31=1,B5+B20,0)</x:f>
        <x:v>10.2</x:v>
      </x:c>
      <x:c r="G18" s="2" t="str">
        <x:v>m</x:v>
      </x:c>
      <x:c r="H18" s="33" t="n">
        <x:v>4.1</x:v>
      </x:c>
      <x:c r="I18" s="12" t="n">
        <x:f>F18*H18</x:f>
        <x:v>41.81999999999999</x:v>
      </x:c>
    </x:row>
    <x:row r="19" ht="16" customHeight="1">
      <x:c r="A19" s="2" t="str">
        <x:v>Core fill per net block</x:v>
      </x:c>
      <x:c r="B19" s="30" t="n">
        <x:v>0</x:v>
      </x:c>
      <x:c r="C19" s="2" t="str">
        <x:v>m³</x:v>
      </x:c>
      <x:c r="D19" s="2"/>
      <x:c r="E19" s="2" t="str">
        <x:v>Geotextile fabric</x:v>
      </x:c>
      <x:c r="F19" s="12" t="n">
        <x:f>IF(B32=1,B5*(F12+B14/1000)*(1+B22),0)</x:f>
        <x:v>13.9725</x:v>
      </x:c>
      <x:c r="G19" s="2" t="str">
        <x:v>m²</x:v>
      </x:c>
      <x:c r="H19" s="33" t="n">
        <x:v>1.94</x:v>
      </x:c>
      <x:c r="I19" s="12" t="n">
        <x:f>F19*H19</x:f>
        <x:v>27.10665</x:v>
      </x:c>
    </x:row>
    <x:row r="20" ht="16" customHeight="1">
      <x:c r="A20" s="2" t="str">
        <x:v>Pipe outlet allowance</x:v>
      </x:c>
      <x:c r="B20" s="30" t="n">
        <x:v>1.2</x:v>
      </x:c>
      <x:c r="C20" s="2" t="str">
        <x:v>m</x:v>
      </x:c>
      <x:c r="D20" s="2"/>
      <x:c r="E20" s="2" t="str">
        <x:v>Cap adhesive</x:v>
      </x:c>
      <x:c r="F20" s="12" t="n">
        <x:f>IF(AND(B28=1,B33=1),ROUNDUP(MAX(0,B5*B23*(1+B11)/B24-1E-9),0),0)</x:f>
        <x:v>5</x:v>
      </x:c>
      <x:c r="G20" s="2" t="str">
        <x:v>tubes</x:v>
      </x:c>
      <x:c r="H20" s="33" t="n">
        <x:v>7.5</x:v>
      </x:c>
      <x:c r="I20" s="12" t="n">
        <x:f>F20*H20</x:f>
        <x:v>37.5</x:v>
      </x:c>
    </x:row>
    <x:row r="21" ht="16" customHeight="1">
      <x:c r="A21" s="2" t="str">
        <x:v>Pipe roll length</x:v>
      </x:c>
      <x:c r="B21" s="30" t="n">
        <x:v>25</x:v>
      </x:c>
      <x:c r="C21" s="2" t="str">
        <x:v>m</x:v>
      </x:c>
      <x:c r="D21" s="2"/>
      <x:c r="E21" s="2" t="str">
        <x:v>Geogrid from your plan</x:v>
      </x:c>
      <x:c r="F21" s="12" t="n">
        <x:f>IF(B34=1,B5*B25*B26*(1+B11),0)</x:f>
        <x:v>0</x:v>
      </x:c>
      <x:c r="G21" s="2" t="str">
        <x:v>m²</x:v>
      </x:c>
      <x:c r="H21" s="33" t="n">
        <x:v>6.46</x:v>
      </x:c>
      <x:c r="I21" s="12" t="n">
        <x:f>F21*H21</x:f>
        <x:v>0</x:v>
      </x:c>
    </x:row>
    <x:row r="22" ht="16" customHeight="1">
      <x:c r="A22" s="2" t="str">
        <x:v>Fabric overlap</x:v>
      </x:c>
      <x:c r="B22" s="31" t="n">
        <x:v>0.15</x:v>
      </x:c>
      <x:c r="C22" s="2" t="str">
        <x:v>%</x:v>
      </x:c>
      <x:c r="D22" s="2"/>
      <x:c r="E22" s="2"/>
      <x:c r="F22" s="12"/>
      <x:c r="G22" s="2"/>
      <x:c r="H22" s="2"/>
      <x:c r="I22" s="11"/>
    </x:row>
    <x:row r="23" ht="16" customHeight="1">
      <x:c r="A23" s="2" t="str">
        <x:v>Adhesive beads</x:v>
      </x:c>
      <x:c r="B23" s="30" t="n">
        <x:v>2</x:v>
      </x:c>
      <x:c r="C23" s="2" t="str">
        <x:v>beads</x:v>
      </x:c>
      <x:c r="D23" s="2"/>
      <x:c r="E23" s="2" t="str">
        <x:v>Materials subtotal</x:v>
      </x:c>
      <x:c r="F23" s="12"/>
      <x:c r="G23" s="2"/>
      <x:c r="H23" s="2" t="str">
        <x:f>$B$38</x:f>
        <x:v>GBP</x:v>
      </x:c>
      <x:c r="I23" s="12" t="n">
        <x:f>SUM(I14:I21)</x:f>
        <x:v>1022.930498</x:v>
      </x:c>
    </x:row>
    <x:row r="24" ht="16" customHeight="1">
      <x:c r="A24" s="2" t="str">
        <x:v>Adhesive coverage per tube</x:v>
      </x:c>
      <x:c r="B24" s="30" t="n">
        <x:v>4.15</x:v>
      </x:c>
      <x:c r="C24" s="2" t="str">
        <x:v>m</x:v>
      </x:c>
      <x:c r="D24" s="2"/>
      <x:c r="E24" s="2" t="str">
        <x:v>Delivery</x:v>
      </x:c>
      <x:c r="F24" s="12"/>
      <x:c r="G24" s="2"/>
      <x:c r="H24" s="2" t="str">
        <x:f>$B$38</x:f>
        <x:v>GBP</x:v>
      </x:c>
      <x:c r="I24" s="12" t="n">
        <x:f>B35</x:f>
        <x:v>75</x:v>
      </x:c>
    </x:row>
    <x:row r="25" ht="16" customHeight="1">
      <x:c r="A25" s="2" t="str">
        <x:v>Geogrid layers</x:v>
      </x:c>
      <x:c r="B25" s="30" t="n">
        <x:v>2</x:v>
      </x:c>
      <x:c r="C25" s="2" t="str">
        <x:v>layers</x:v>
      </x:c>
      <x:c r="D25" s="2"/>
      <x:c r="E25" s="2" t="str">
        <x:v>Labour</x:v>
      </x:c>
      <x:c r="F25" s="12"/>
      <x:c r="G25" s="2"/>
      <x:c r="H25" s="2" t="str">
        <x:f>$B$38</x:f>
        <x:v>GBP</x:v>
      </x:c>
      <x:c r="I25" s="12" t="n">
        <x:f>F5*B36</x:f>
        <x:v>0</x:v>
      </x:c>
    </x:row>
    <x:row r="26" ht="16" customHeight="1">
      <x:c r="A26" s="2" t="str">
        <x:v>Geogrid depth</x:v>
      </x:c>
      <x:c r="B26" s="30" t="n">
        <x:v>0.9</x:v>
      </x:c>
      <x:c r="C26" s="2" t="str">
        <x:v>m</x:v>
      </x:c>
      <x:c r="D26" s="2"/>
      <x:c r="E26" s="2" t="str">
        <x:v>Modelled tax</x:v>
      </x:c>
      <x:c r="F26" s="12"/>
      <x:c r="G26" s="2"/>
      <x:c r="H26" s="2" t="str">
        <x:f>$B$38</x:f>
        <x:v>GBP</x:v>
      </x:c>
      <x:c r="I26" s="12" t="n">
        <x:f>SUM(I23:I24)*B37</x:f>
        <x:v>0</x:v>
      </x:c>
    </x:row>
    <x:row r="27" ht="16" customHeight="1">
      <x:c r="A27" s="2" t="str">
        <x:v>Blocks per pallet</x:v>
      </x:c>
      <x:c r="B27" s="30" t="n">
        <x:v>75</x:v>
      </x:c>
      <x:c r="C27" s="2" t="str">
        <x:v>blocks</x:v>
      </x:c>
      <x:c r="D27" s="2"/>
      <x:c r="E27" s="18" t="str">
        <x:v>Estimated total</x:v>
      </x:c>
      <x:c r="F27" s="19"/>
      <x:c r="G27" s="18"/>
      <x:c r="H27" s="18" t="str">
        <x:f>$B$38</x:f>
        <x:v>GBP</x:v>
      </x:c>
      <x:c r="I27" s="19" t="n">
        <x:f>SUM(I23:I26)</x:f>
        <x:v>1097.930498</x:v>
      </x:c>
    </x:row>
    <x:row r="28" ht="16" customHeight="1">
      <x:c r="A28" s="2" t="str">
        <x:v>Include cap stones</x:v>
      </x:c>
      <x:c r="B28" s="30" t="n">
        <x:v>1</x:v>
      </x:c>
      <x:c r="C28" s="2" t="str">
        <x:v>1 or 0</x:v>
      </x:c>
      <x:c r="D28" s="2"/>
      <x:c r="E28" s="2"/>
      <x:c r="F28" s="12"/>
      <x:c r="G28" s="2"/>
      <x:c r="H28" s="2"/>
      <x:c r="I28" s="2"/>
    </x:row>
    <x:row r="29" ht="23" customHeight="1">
      <x:c r="A29" s="2" t="str">
        <x:v>Include base gravel</x:v>
      </x:c>
      <x:c r="B29" s="30" t="n">
        <x:v>1</x:v>
      </x:c>
      <x:c r="C29" s="2" t="str">
        <x:v>1 or 0</x:v>
      </x:c>
      <x:c r="D29" s="2"/>
      <x:c r="E29" s="5" t="str">
        <x:v>Supplier packaging and weight</x:v>
      </x:c>
      <x:c r="F29" s="13" t="str">
        <x:v>Supplier packaging and weight</x:v>
      </x:c>
      <x:c r="G29" s="5" t="str">
        <x:v>Supplier packaging and weight</x:v>
      </x:c>
      <x:c r="H29" s="5" t="str">
        <x:v>Supplier packaging and weight</x:v>
      </x:c>
      <x:c r="I29" s="5" t="str">
        <x:v>Supplier packaging and weight</x:v>
      </x:c>
    </x:row>
    <x:row r="30" ht="16" customHeight="1">
      <x:c r="A30" s="2" t="str">
        <x:v>Include drainage stone</x:v>
      </x:c>
      <x:c r="B30" s="30" t="n">
        <x:v>1</x:v>
      </x:c>
      <x:c r="C30" s="2" t="str">
        <x:v>1 or 0</x:v>
      </x:c>
      <x:c r="D30" s="2"/>
      <x:c r="E30" s="2" t="str">
        <x:v>Net caps</x:v>
      </x:c>
      <x:c r="F30" s="12" t="n">
        <x:f>IF(B28=1,ROUNDUP(B5*1000/B17-1E-9,0),0)</x:f>
        <x:v>23</x:v>
      </x:c>
      <x:c r="G30" s="2" t="str">
        <x:v>caps</x:v>
      </x:c>
      <x:c r="H30" s="2"/>
      <x:c r="I30" s="2"/>
    </x:row>
    <x:row r="31" ht="16" customHeight="1">
      <x:c r="A31" s="2" t="str">
        <x:v>Include drain pipe</x:v>
      </x:c>
      <x:c r="B31" s="30" t="n">
        <x:v>1</x:v>
      </x:c>
      <x:c r="C31" s="2" t="str">
        <x:v>1 or 0</x:v>
      </x:c>
      <x:c r="D31" s="2"/>
      <x:c r="E31" s="2" t="str">
        <x:v>Whole pipe rolls</x:v>
      </x:c>
      <x:c r="F31" s="12" t="n">
        <x:f>IF(F18&gt;0,ROUNDUP(MAX(0,F18/B21-1E-9),0),0)</x:f>
        <x:v>1</x:v>
      </x:c>
      <x:c r="G31" s="2" t="str">
        <x:v>rolls</x:v>
      </x:c>
      <x:c r="H31" s="2"/>
      <x:c r="I31" s="2"/>
    </x:row>
    <x:row r="32" ht="16" customHeight="1">
      <x:c r="A32" s="2" t="str">
        <x:v>Include geotextile</x:v>
      </x:c>
      <x:c r="B32" s="30" t="n">
        <x:v>1</x:v>
      </x:c>
      <x:c r="C32" s="2" t="str">
        <x:v>1 or 0</x:v>
      </x:c>
      <x:c r="D32" s="2"/>
      <x:c r="E32" s="2" t="str">
        <x:v>Estimated stone mass</x:v>
      </x:c>
      <x:c r="F32" s="12" t="n">
        <x:f>SUM(F16:F17)*B13</x:f>
        <x:v>5.817636000000001</x:v>
      </x:c>
      <x:c r="G32" s="2" t="str">
        <x:v>tonnes</x:v>
      </x:c>
      <x:c r="H32" s="2"/>
      <x:c r="I32" s="2"/>
    </x:row>
    <x:row r="33" ht="16" customHeight="1">
      <x:c r="A33" s="2" t="str">
        <x:v>Include cap adhesive</x:v>
      </x:c>
      <x:c r="B33" s="30" t="n">
        <x:v>1</x:v>
      </x:c>
      <x:c r="C33" s="2" t="str">
        <x:v>1 or 0</x:v>
      </x:c>
      <x:c r="D33" s="2"/>
      <x:c r="E33" s="2" t="str">
        <x:v>Whole block pallets</x:v>
      </x:c>
      <x:c r="F33" s="12" t="n">
        <x:f>ROUNDUP(F14/B27-1E-9,0)</x:f>
        <x:v>3</x:v>
      </x:c>
      <x:c r="G33" s="2" t="str">
        <x:v>pallets</x:v>
      </x:c>
      <x:c r="H33" s="2"/>
      <x:c r="I33" s="2"/>
    </x:row>
    <x:row r="34" ht="16" customHeight="1">
      <x:c r="A34" s="2" t="str">
        <x:v>Include geogrid</x:v>
      </x:c>
      <x:c r="B34" s="30" t="n">
        <x:v>0</x:v>
      </x:c>
      <x:c r="C34" s="2" t="str">
        <x:v>1 or 0</x:v>
      </x:c>
      <x:c r="D34" s="2"/>
      <x:c r="E34" s="2"/>
      <x:c r="F34" s="2"/>
      <x:c r="G34" s="2"/>
      <x:c r="H34" s="2"/>
      <x:c r="I34" s="2"/>
    </x:row>
    <x:row r="35" ht="16" customHeight="1">
      <x:c r="A35" s="2" t="str">
        <x:v>Delivery</x:v>
      </x:c>
      <x:c r="B35" s="33" t="n">
        <x:v>75</x:v>
      </x:c>
      <x:c r="C35" s="2" t="str">
        <x:f>$B$38</x:f>
        <x:v>GBP</x:v>
      </x:c>
      <x:c r="D35" s="2"/>
      <x:c r="E35" s="23" t="str">
        <x:v>Quantities are rounded for display. Costs use unrounded quantities. Confirm pack sizes and order minimums with the supplier.</x:v>
      </x:c>
      <x:c r="F35" s="23"/>
      <x:c r="G35" s="23"/>
      <x:c r="H35" s="23"/>
      <x:c r="I35" s="23"/>
    </x:row>
    <x:row r="36" ht="16" customHeight="1">
      <x:c r="A36" s="2" t="str">
        <x:v>Labour rate</x:v>
      </x:c>
      <x:c r="B36" s="33" t="n">
        <x:v>0</x:v>
      </x:c>
      <x:c r="C36" s="2" t="str">
        <x:f>$B$38&amp;"/m²"</x:f>
        <x:v>GBP/m²</x:v>
      </x:c>
      <x:c r="D36" s="2"/>
      <x:c r="E36" s="23"/>
      <x:c r="F36" s="23"/>
      <x:c r="G36" s="23"/>
      <x:c r="H36" s="23"/>
      <x:c r="I36" s="23"/>
    </x:row>
    <x:row r="37" ht="16" customHeight="1">
      <x:c r="A37" s="2" t="str">
        <x:v>Tax rate</x:v>
      </x:c>
      <x:c r="B37" s="31" t="n">
        <x:v>0</x:v>
      </x:c>
      <x:c r="C37" s="2" t="str">
        <x:v>%</x:v>
      </x:c>
      <x:c r="D37" s="2"/>
      <x:c r="E37" s="2"/>
      <x:c r="F37" s="2"/>
      <x:c r="G37" s="2"/>
      <x:c r="H37" s="2"/>
      <x:c r="I37" s="2"/>
    </x:row>
    <x:row r="38" ht="16" customHeight="1">
      <x:c r="A38" s="2" t="str">
        <x:v>Currency code</x:v>
      </x:c>
      <x:c r="B38" s="32" t="str">
        <x:v>GBP</x:v>
      </x:c>
      <x:c r="C38" s="2" t="str"/>
    </x:row>
  </x:sheetData>
  <x:sheetProtection sheet="1"/>
  <x:mergeCells>
    <x:mergeCell ref="A1:I1"/>
    <x:mergeCell ref="A2:I2"/>
    <x:mergeCell ref="A4:C4"/>
    <x:mergeCell ref="E4:I4"/>
    <x:mergeCell ref="E29:I29"/>
    <x:mergeCell ref="E35:I36"/>
    <x:mergeCell ref="H12:I12"/>
  </x:mergeCells>
  <x:pageMargins left="0.7" right="0.7" top="0.75" bottom="0.75" header="0.3" footer="0.3"/>
  <x:pageSetup paperSize="1" orientation="landscape" fitToWidth="1" fitToHeight="1"/>
</x:worksheet>
</file>

<file path=xl/worksheets/sheet3.xml><?xml version="1.0" encoding="utf-8"?>
<x:worksheet xmlns:x="http://schemas.openxmlformats.org/spreadsheetml/2006/main">
  <x:sheetPr>
    <x:pageSetUpPr fitToPage="1"/>
  </x:sheetPr>
  <x:sheetViews>
    <x:sheetView showGridLines="0" workbookViewId="0"/>
  </x:sheetViews>
  <x:sheetFormatPr defaultRowHeight="15"/>
  <x:cols>
    <x:col min="1" max="1" width="34" hidden="0" customWidth="1"/>
    <x:col min="2" max="2" width="97" hidden="0" customWidth="1"/>
  </x:cols>
  <x:sheetData>
    <x:row r="1" ht="23" customHeight="1">
      <x:c r="A1" s="5" t="str">
        <x:v>How each line is calculated</x:v>
      </x:c>
      <x:c r="B1" s="5" t="str">
        <x:v>How each line is calculated</x:v>
      </x:c>
    </x:row>
    <x:row r="2">
      <x:c r="A2" s="2"/>
      <x:c r="B2" s="2"/>
    </x:row>
    <x:row r="3" ht="31" customHeight="1">
      <x:c r="A3" s="25" t="str">
        <x:v>Face area</x:v>
      </x:c>
      <x:c r="B3" s="23" t="str">
        <x:v>Wall length × exposed height. Labour is based on exposed area.</x:v>
      </x:c>
    </x:row>
    <x:row r="4" ht="31" customHeight="1">
      <x:c r="A4" s="25" t="str">
        <x:v>Units per course</x:v>
      </x:c>
      <x:c r="B4" s="23" t="str">
        <x:v>ROUNDUP(wall length converted to block units ÷ block length).</x:v>
      </x:c>
    </x:row>
    <x:row r="5" ht="31" customHeight="1">
      <x:c r="A5" s="25" t="str">
        <x:v>Exposed courses</x:v>
      </x:c>
      <x:c r="B5" s="23" t="str">
        <x:v>ROUNDUP(exposed height converted to block units ÷ block height).</x:v>
      </x:c>
    </x:row>
    <x:row r="6" ht="31" customHeight="1">
      <x:c r="A6" s="25" t="str">
        <x:v>Total courses</x:v>
      </x:c>
      <x:c r="B6" s="23" t="str">
        <x:v>Exposed courses + buried courses.</x:v>
      </x:c>
    </x:row>
    <x:row r="7" ht="31" customHeight="1">
      <x:c r="A7" s="25" t="str">
        <x:v>Exposed units</x:v>
      </x:c>
      <x:c r="B7" s="23" t="str">
        <x:v>Units per course × exposed courses.</x:v>
      </x:c>
    </x:row>
    <x:row r="8" ht="31" customHeight="1">
      <x:c r="A8" s="25" t="str">
        <x:v>Buried units</x:v>
      </x:c>
      <x:c r="B8" s="23" t="str">
        <x:v>Units per course × buried courses.</x:v>
      </x:c>
    </x:row>
    <x:row r="9" ht="31" customHeight="1">
      <x:c r="A9" s="25" t="str">
        <x:v>Extra units for cuts</x:v>
      </x:c>
      <x:c r="B9" s="23" t="str">
        <x:v>Order units − exposed units − buried units.</x:v>
      </x:c>
    </x:row>
    <x:row r="10" ht="31" customHeight="1">
      <x:c r="A10" s="25" t="str">
        <x:v>Wall units to order</x:v>
      </x:c>
      <x:c r="B10" s="23" t="str">
        <x:v>ROUNDUP((exposed units + buried units) × (1 + cutting allowance)).</x:v>
      </x:c>
    </x:row>
    <x:row r="11" ht="31" customHeight="1">
      <x:c r="A11" s="25" t="str">
        <x:v>Net caps and caps to order</x:v>
      </x:c>
      <x:c r="B11" s="23" t="str">
        <x:v>ROUNDUP(wall length ÷ cap coverage), then ROUNDUP(net caps × (1 + cutting allowance)).</x:v>
      </x:c>
    </x:row>
    <x:row r="12" ht="31" customHeight="1">
      <x:c r="A12" s="25" t="str">
        <x:v>Compacted base gravel</x:v>
      </x:c>
      <x:c r="B12" s="23" t="str">
        <x:v>Wall length × base width × base depth × (1 + stone allowance), converted to yd³ or m³.</x:v>
      </x:c>
    </x:row>
    <x:row r="13" ht="31" customHeight="1">
      <x:c r="A13" s="25" t="str">
        <x:v>Drainage and core-fill stone</x:v>
      </x:c>
      <x:c r="B13" s="23" t="str">
        <x:v>Wall length × drainage width × MAX(0, built height − soil cap), plus core fill per net block. Apply the stone allowance.</x:v>
      </x:c>
    </x:row>
    <x:row r="14" ht="31" customHeight="1">
      <x:c r="A14" s="25" t="str">
        <x:v>Drain pipe and whole rolls</x:v>
      </x:c>
      <x:c r="B14" s="23" t="str">
        <x:v>Wall length + outlet allowance. Rolls = ROUNDUP(pipe length ÷ roll length). Pricing uses the estimated length.</x:v>
      </x:c>
    </x:row>
    <x:row r="15" ht="31" customHeight="1">
      <x:c r="A15" s="25" t="str">
        <x:v>Geotextile fabric</x:v>
      </x:c>
      <x:c r="B15" s="23" t="str">
        <x:v>Wall length × (built height + drainage width) × (1 + overlap).</x:v>
      </x:c>
    </x:row>
    <x:row r="16" ht="31" customHeight="1">
      <x:c r="A16" s="25" t="str">
        <x:v>Cap adhesive</x:v>
      </x:c>
      <x:c r="B16" s="23" t="str">
        <x:v>ROUNDUP(wall length × bead count × (1 + cutting allowance) ÷ coverage per tube).</x:v>
      </x:c>
    </x:row>
    <x:row r="17" ht="31" customHeight="1">
      <x:c r="A17" s="25" t="str">
        <x:v>Geogrid from your plan</x:v>
      </x:c>
      <x:c r="B17" s="23" t="str">
        <x:v>Wall length × layer count × depth × (1 + cutting allowance). Switch on only if specified.</x:v>
      </x:c>
    </x:row>
    <x:row r="18" ht="31" customHeight="1">
      <x:c r="A18" s="25" t="str">
        <x:v>Stone mass</x:v>
      </x:c>
      <x:c r="B18" s="23" t="str">
        <x:v>(Base + drainage volume) × bulk density.</x:v>
      </x:c>
    </x:row>
    <x:row r="19" ht="31" customHeight="1">
      <x:c r="A19" s="25" t="str">
        <x:v>Whole block pallets</x:v>
      </x:c>
      <x:c r="B19" s="23" t="str">
        <x:v>ROUNDUP(order blocks ÷ units per pallet). Prices use individual units.</x:v>
      </x:c>
    </x:row>
    <x:row r="20" ht="31" customHeight="1">
      <x:c r="A20" s="25" t="str">
        <x:v>Material lines and subtotal</x:v>
      </x:c>
      <x:c r="B20" s="23" t="str">
        <x:v>Each unrounded quantity × its unit price. Add the line amounts.</x:v>
      </x:c>
    </x:row>
    <x:row r="21" ht="31" customHeight="1">
      <x:c r="A21" s="25" t="str">
        <x:v>Delivery and labour</x:v>
      </x:c>
      <x:c r="B21" s="23" t="str">
        <x:v>Enter delivery separately. Labour = exposed face area × labour rate.</x:v>
      </x:c>
    </x:row>
    <x:row r="22" ht="31" customHeight="1">
      <x:c r="A22" s="25" t="str">
        <x:v>Estimated tax</x:v>
      </x:c>
      <x:c r="B22" s="23" t="str">
        <x:v>(Materials + delivery) × tax rate. Labour is excluded from this tax model.</x:v>
      </x:c>
    </x:row>
    <x:row r="23" ht="31" customHeight="1">
      <x:c r="A23" s="25" t="str">
        <x:v>Estimated total</x:v>
      </x:c>
      <x:c r="B23" s="23" t="str">
        <x:v>Materials + delivery + labour + estimated tax.</x:v>
      </x:c>
    </x:row>
    <x:row r="24">
      <x:c r="A24" s="2"/>
      <x:c r="B24" s="2"/>
    </x:row>
  </x:sheetData>
  <x:mergeCells>
    <x:mergeCell ref="A1:B1"/>
  </x:mergeCells>
  <x:pageMargins left="0.7" right="0.7" top="0.75" bottom="0.75" header="0.3" footer="0.3"/>
  <x:pageSetup paperSize="1" orientation="landscape" fitToWidth="1" fitToHeight="1"/>
</x:worksheet>
</file>

<file path=xl/worksheets/sheet4.xml><?xml version="1.0" encoding="utf-8"?>
<x:worksheet xmlns:x="http://schemas.openxmlformats.org/spreadsheetml/2006/main">
  <x:sheetPr>
    <x:pageSetUpPr fitToPage="1"/>
  </x:sheetPr>
  <x:sheetViews>
    <x:sheetView showGridLines="0" workbookViewId="0"/>
  </x:sheetViews>
  <x:sheetFormatPr defaultRowHeight="15"/>
  <x:cols>
    <x:col min="1" max="1" width="34" hidden="0" customWidth="1"/>
    <x:col min="2" max="2" width="97" hidden="0" customWidth="1"/>
  </x:cols>
  <x:sheetData>
    <x:row r="1" ht="23" customHeight="1">
      <x:c r="A1" s="5" t="str">
        <x:v>Using the retaining wall estimate spreadsheet</x:v>
      </x:c>
      <x:c r="B1" s="5" t="str">
        <x:v>Using the retaining wall estimate spreadsheet</x:v>
      </x:c>
    </x:row>
    <x:row r="2">
      <x:c r="A2" s="2"/>
      <x:c r="B2" s="2"/>
    </x:row>
    <x:row r="3" ht="31" customHeight="1">
      <x:c r="A3" s="25" t="str">
        <x:v>Start here</x:v>
      </x:c>
      <x:c r="B3" s="23" t="str">
        <x:v>Choose Estimate (US) for feet and inches or Estimate (metric) for metres and millimetres. The US tab starts with a 30 ft × 3 ft wall. The metric tab starts with a 9 m × 0.9 m wall.</x:v>
      </x:c>
    </x:row>
    <x:row r="4" ht="31" customHeight="1">
      <x:c r="A4" s="25" t="str">
        <x:v>Edit the blue cells</x:v>
      </x:c>
      <x:c r="B4" s="23" t="str">
        <x:v>Enter your dimensions, allowances, quantities and local prices. Use 1 to include optional materials or 0 to exclude them. Enter lengths, densities and packaging sizes as positive numbers.</x:v>
      </x:c>
    </x:row>
    <x:row r="5" ht="31" customHeight="1">
      <x:c r="A5" s="25" t="str">
        <x:v>Use one currency</x:v>
      </x:c>
      <x:c r="B5" s="23" t="str">
        <x:v>The US tab uses example USD rates. The metric tab starts with example GBP rates. Edit its currency code and enter all prices and charges in that currency. Changing the code does not convert prices.</x:v>
      </x:c>
    </x:row>
    <x:row r="6" ht="31" customHeight="1">
      <x:c r="A6" s="25" t="str">
        <x:v>Check supplier packs</x:v>
      </x:c>
      <x:c r="B6" s="23" t="str">
        <x:v>Compare order quantities with available pallets, pipe rolls, fabric rolls and supplier minimums. Material costs use the listed quantities and unit rates.</x:v>
      </x:c>
    </x:row>
    <x:row r="7" ht="31" customHeight="1">
      <x:c r="A7" s="25" t="str">
        <x:v>Included</x:v>
      </x:c>
      <x:c r="B7" s="23" t="str">
        <x:v>Wall blocks, caps, base gravel, drainage stone, optional core fill, pipe, fabric, adhesive and optional geogrid quantities. The budget includes entered delivery, labour and modelled tax.</x:v>
      </x:c>
    </x:row>
    <x:row r="8" ht="31" customHeight="1">
      <x:c r="A8" s="25" t="str">
        <x:v>Excluded</x:v>
      </x:c>
      <x:c r="B8" s="23" t="str">
        <x:v>Engineering and site design, excavation, disposal, permits, equipment, fittings, special units, purchase minimums, and reinforcement selection or design.</x:v>
      </x:c>
    </x:row>
    <x:row r="9" ht="31" customHeight="1">
      <x:c r="A9" s="25" t="str">
        <x:v>Quantities only, not a design</x:v>
      </x:c>
      <x:c r="B9" s="23" t="str">
        <x:v>Confirm dimensions, products, drainage details and quantities against your plans and supplier before ordering. Seek project-specific professional advice where needed.</x:v>
      </x:c>
    </x:row>
    <x:row r="10" ht="31" customHeight="1">
      <x:c r="A10" s="25" t="str">
        <x:v>Edit or print</x:v>
      </x:c>
      <x:c r="B10" s="23" t="str">
        <x:v>Blue inputs are unlocked. Formula cells are protected without a password. Each tab fits one printed page.</x:v>
      </x:c>
    </x:row>
    <x:row r="11" ht="31" customHeight="1">
      <x:c r="A11" s="25" t="str">
        <x:v>Open in Google Sheets</x:v>
      </x:c>
      <x:c r="B11" s="23" t="str">
        <x:v>Choose File → Import → Upload and select this .xlsx file.</x:v>
      </x:c>
    </x:row>
    <x:row r="12" ht="31" customHeight="1">
      <x:c r="A12" s="25" t="str">
        <x:v>Online calculator</x:v>
      </x:c>
      <x:c r="B12" s="23" t="str">
        <x:v>https://retainingwallcalc.org/</x:v>
      </x:c>
    </x:row>
    <x:row r="13" ht="31" customHeight="1">
      <x:c r="A13" s="25" t="str">
        <x:v>Adhesive coverage source</x:v>
      </x:c>
      <x:c r="B13" s="23" t="str">
        <x:v>Henkel Loctite PL 500 Landscape Construction Adhesive technical data sheet, Coverage, 1 August 2024. The default uses a 3/8 in bead and 10 fl oz cartridge. Use the coverage for your product.</x:v>
      </x:c>
    </x:row>
  </x:sheetData>
  <x:mergeCells>
    <x:mergeCell ref="A1:B1"/>
  </x:mergeCells>
  <x:hyperlinks>
    <x:hyperlink xmlns:r="http://schemas.openxmlformats.org/officeDocument/2006/relationships" ref="B12" r:id="Rcf69caadcf1d47ff"/>
  </x:hyperlinks>
  <x:pageMargins left="0.7" right="0.7" top="0.75" bottom="0.75" header="0.3" footer="0.3"/>
  <x:pageSetup paperSize="1" orientation="landscape" fitToWidth="1" fitToHeight="1"/>
</x:worksheet>
</file>